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8711c56d50d7236/ブログ/"/>
    </mc:Choice>
  </mc:AlternateContent>
  <xr:revisionPtr revIDLastSave="16" documentId="11_5EA587BEBEF8E08549EEF05BBF3B878FA3AFF3A6" xr6:coauthVersionLast="47" xr6:coauthVersionMax="47" xr10:uidLastSave="{6DE29B53-6B80-41E1-8EAB-43197B1A65FF}"/>
  <bookViews>
    <workbookView xWindow="-110" yWindow="-110" windowWidth="38620" windowHeight="21100" activeTab="1" xr2:uid="{00000000-000D-0000-FFFF-FFFF00000000}"/>
  </bookViews>
  <sheets>
    <sheet name="差異分析" sheetId="2" r:id="rId1"/>
    <sheet name="シュラッター図" sheetId="3" r:id="rId2"/>
    <sheet name="予算データ" sheetId="4" r:id="rId3"/>
    <sheet name="実績データ" sheetId="5" r:id="rId4"/>
    <sheet name="標準時間データ" sheetId="6" r:id="rId5"/>
    <sheet name="期待結果" sheetId="11" r:id="rId6"/>
    <sheet name="分析ダッシュボード" sheetId="12" r:id="rId7"/>
  </sheets>
  <definedNames>
    <definedName name="ExternalData_1" localSheetId="5" hidden="1">期待結果!$A$1:$M$19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6" i="12" l="1"/>
  <c r="B34" i="12" s="1"/>
  <c r="Y15" i="12"/>
  <c r="B25" i="12" s="1"/>
  <c r="Y14" i="12"/>
  <c r="Y13" i="12"/>
  <c r="B19" i="12" s="1"/>
  <c r="Y12" i="12"/>
  <c r="AF3" i="12" s="1"/>
  <c r="Y11" i="12"/>
  <c r="Y10" i="12"/>
  <c r="AE3" i="12" s="1"/>
  <c r="Y9" i="12"/>
  <c r="AD3" i="12" s="1"/>
  <c r="C9" i="12"/>
  <c r="AC5" i="12" s="1"/>
  <c r="Y8" i="12"/>
  <c r="AA4" i="12" s="1"/>
  <c r="C8" i="12"/>
  <c r="W5" i="12" s="1"/>
  <c r="Y7" i="12"/>
  <c r="AC4" i="12" s="1"/>
  <c r="C7" i="12"/>
  <c r="X4" i="12" s="1"/>
  <c r="AB5" i="12"/>
  <c r="Z4" i="12"/>
  <c r="Y4" i="12"/>
  <c r="W4" i="12"/>
  <c r="AC3" i="12"/>
  <c r="AA3" i="12"/>
  <c r="C9" i="3"/>
  <c r="B9" i="3"/>
  <c r="C8" i="3"/>
  <c r="B8" i="3"/>
  <c r="C7" i="3"/>
  <c r="B7" i="3"/>
  <c r="C6" i="3"/>
  <c r="B6" i="3"/>
  <c r="C5" i="3"/>
  <c r="B5" i="3"/>
  <c r="C4" i="3"/>
  <c r="B4" i="3"/>
  <c r="B9" i="2"/>
  <c r="B12" i="3" s="1"/>
  <c r="B7" i="2"/>
  <c r="D5" i="3" s="1"/>
  <c r="D7" i="3" l="1"/>
  <c r="D8" i="3"/>
  <c r="B29" i="12"/>
  <c r="D6" i="3"/>
  <c r="B8" i="12"/>
  <c r="D9" i="3"/>
  <c r="H8" i="12"/>
  <c r="N8" i="12"/>
  <c r="AD4" i="12"/>
  <c r="AD5" i="12"/>
  <c r="D4" i="3"/>
  <c r="B22" i="12"/>
  <c r="X5" i="12"/>
  <c r="Y5" i="12"/>
  <c r="B8" i="2"/>
  <c r="AG3" i="12"/>
  <c r="AB4" i="12"/>
  <c r="AB3" i="12"/>
  <c r="B10" i="2" l="1"/>
  <c r="B13" i="3" l="1"/>
  <c r="B11" i="2"/>
  <c r="B14" i="3" l="1"/>
  <c r="B1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B9131C-F84C-4474-BBD2-5E5A7387E2D6}" keepAlive="1" name="クエリ - 製造間接費差異分析" description="ブック内の '製造間接費差異分析' クエリへの接続です。" type="5" refreshedVersion="8" background="1" saveData="1">
    <dbPr connection="Provider=Microsoft.Mashup.OleDb.1;Data Source=$Workbook$;Location=製造間接費差異分析;Extended Properties=&quot;&quot;" command="SELECT * FROM [製造間接費差異分析]"/>
  </connection>
</connections>
</file>

<file path=xl/sharedStrings.xml><?xml version="1.0" encoding="utf-8"?>
<sst xmlns="http://schemas.openxmlformats.org/spreadsheetml/2006/main" count="243" uniqueCount="55">
  <si>
    <t>項目</t>
  </si>
  <si>
    <t>入力値・計算結果</t>
  </si>
  <si>
    <t>固定製造間接費予算</t>
  </si>
  <si>
    <t>← 薄緑：入力セル</t>
  </si>
  <si>
    <t>基準操業度</t>
  </si>
  <si>
    <t>実際発生額</t>
  </si>
  <si>
    <t>実際生産量の標準時間</t>
  </si>
  <si>
    <t>予定配賦率</t>
  </si>
  <si>
    <t>← 薄青：計算セル</t>
  </si>
  <si>
    <t>予定配賦額</t>
  </si>
  <si>
    <t>予算差異</t>
  </si>
  <si>
    <t>プラス：不利差異</t>
  </si>
  <si>
    <t>操業度差異</t>
  </si>
  <si>
    <t>マイナス：有利差異</t>
  </si>
  <si>
    <t>差異合計</t>
  </si>
  <si>
    <t>差額チェック</t>
  </si>
  <si>
    <t>0なら検算OK</t>
  </si>
  <si>
    <t>シュラッター図｜固定製造間接費（数値連動）</t>
  </si>
  <si>
    <t>操業時間</t>
  </si>
  <si>
    <t>固定費予算</t>
  </si>
  <si>
    <t>800時間時点：実際発生額と固定費予算の差が予算差異、固定費予算と予定配賦額の差が操業度差異。</t>
  </si>
  <si>
    <t>年月</t>
  </si>
  <si>
    <t>部門コード</t>
  </si>
  <si>
    <t>2026-01</t>
  </si>
  <si>
    <t>製造1課</t>
  </si>
  <si>
    <t>製造2課</t>
  </si>
  <si>
    <t>組立課</t>
  </si>
  <si>
    <t>2026-02</t>
  </si>
  <si>
    <t>2026-03</t>
  </si>
  <si>
    <t>2026-04</t>
  </si>
  <si>
    <t>2026-05</t>
  </si>
  <si>
    <t>2026-06</t>
  </si>
  <si>
    <t>標準時間</t>
  </si>
  <si>
    <t>データチェック</t>
  </si>
  <si>
    <t>OK</t>
  </si>
  <si>
    <t>製造間接費 ｜ EXECUTIVE VARIANCE DASHBOARD</t>
  </si>
  <si>
    <t>X（時間）</t>
  </si>
  <si>
    <t>固定費予算（万円）</t>
  </si>
  <si>
    <t>予定配賦額（万円）</t>
  </si>
  <si>
    <t>実際発生額（万円）</t>
  </si>
  <si>
    <t>X標準時間</t>
  </si>
  <si>
    <t>Y予定配賦額</t>
  </si>
  <si>
    <t>X基準操業度</t>
  </si>
  <si>
    <t>x（時間）</t>
  </si>
  <si>
    <t>予算（万円）</t>
  </si>
  <si>
    <t>配賦（万円）</t>
  </si>
  <si>
    <t>実際X（時間）</t>
  </si>
  <si>
    <t>対象月</t>
  </si>
  <si>
    <t>対象部門</t>
  </si>
  <si>
    <t>単位：万円／時間　｜　固定製造間接費のみ</t>
  </si>
  <si>
    <t>予算差異（万円）</t>
  </si>
  <si>
    <t>操業度差異（万円）</t>
  </si>
  <si>
    <t>差異合計（万円）</t>
  </si>
  <si>
    <t>固定費予算・実際発生額・予定配賦額｜動的シュラッター図</t>
  </si>
  <si>
    <t>差異の読み方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</si>
</sst>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\-#,##0;0"/>
    <numFmt numFmtId="177" formatCode="#,##0.##;[Red]\(#,##0.##\);\–"/>
    <numFmt numFmtId="178" formatCode="0.0&quot; 万円&quot;;[Red]\-0.0&quot; 万円&quot;;0.0&quot; 万円&quot;"/>
    <numFmt numFmtId="180" formatCode="yyyy\-mm"/>
  </numFmts>
  <fonts count="18">
    <font>
      <sz val="11"/>
      <name val="Carlito"/>
    </font>
    <font>
      <b/>
      <sz val="17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  <font>
      <b/>
      <sz val="18"/>
      <color rgb="FFFFFFFF"/>
      <name val="Carlito"/>
    </font>
    <font>
      <sz val="11"/>
      <color rgb="FF183A2F"/>
      <name val="Carlito"/>
    </font>
    <font>
      <b/>
      <sz val="13"/>
      <color rgb="FF164534"/>
      <name val="Carlito"/>
    </font>
    <font>
      <sz val="10"/>
      <color rgb="FF263C34"/>
      <name val="Carlito"/>
    </font>
    <font>
      <b/>
      <sz val="11"/>
      <color rgb="FF517061"/>
      <name val="Carlito"/>
    </font>
    <font>
      <b/>
      <sz val="21"/>
      <color rgb="FF183B2C"/>
      <name val="Carlito"/>
    </font>
    <font>
      <b/>
      <sz val="12"/>
      <color rgb="FFFFFFFF"/>
      <name val="Carlito"/>
    </font>
    <font>
      <sz val="11"/>
      <color rgb="FF1E4233"/>
      <name val="Carlito"/>
    </font>
    <font>
      <b/>
      <sz val="11"/>
      <color rgb="FF174A32"/>
      <name val="Carlito"/>
    </font>
    <font>
      <sz val="10"/>
      <color rgb="FF355F46"/>
      <name val="Carlito"/>
    </font>
    <font>
      <sz val="11"/>
      <color theme="1"/>
      <name val="Carlito"/>
    </font>
    <font>
      <b/>
      <sz val="11"/>
      <color theme="0"/>
      <name val="Carlito"/>
      <family val="2"/>
    </font>
    <font>
      <sz val="6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rgb="FF155B34"/>
      </patternFill>
    </fill>
    <fill>
      <patternFill patternType="solid">
        <fgColor rgb="FFE6F4E7"/>
      </patternFill>
    </fill>
    <fill>
      <patternFill patternType="solid">
        <fgColor rgb="FF417C3E"/>
      </patternFill>
    </fill>
    <fill>
      <patternFill patternType="solid">
        <fgColor rgb="FFE7F1FD"/>
      </patternFill>
    </fill>
    <fill>
      <patternFill patternType="solid">
        <fgColor rgb="FF16372D"/>
      </patternFill>
    </fill>
    <fill>
      <patternFill patternType="solid">
        <fgColor rgb="FFE8F1EB"/>
      </patternFill>
    </fill>
    <fill>
      <patternFill patternType="solid">
        <fgColor rgb="FFFFFFFF"/>
      </patternFill>
    </fill>
    <fill>
      <patternFill patternType="solid">
        <fgColor rgb="FFF6F8F6"/>
      </patternFill>
    </fill>
    <fill>
      <patternFill patternType="solid">
        <fgColor rgb="FFE5EEE7"/>
      </patternFill>
    </fill>
    <fill>
      <patternFill patternType="solid">
        <fgColor rgb="FFF3F7F4"/>
      </patternFill>
    </fill>
    <fill>
      <patternFill patternType="solid">
        <fgColor rgb="FF254B38"/>
      </patternFill>
    </fill>
    <fill>
      <patternFill patternType="solid">
        <fgColor rgb="FFF1F5F2"/>
      </patternFill>
    </fill>
    <fill>
      <patternFill patternType="solid">
        <fgColor rgb="FFDBEBDD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3" borderId="0" xfId="1" applyFont="1" applyFill="1"/>
    <xf numFmtId="0" fontId="0" fillId="0" borderId="0" xfId="1" applyFont="1" applyAlignment="1">
      <alignment wrapText="1"/>
    </xf>
    <xf numFmtId="0" fontId="3" fillId="4" borderId="0" xfId="1" applyFont="1" applyFill="1"/>
    <xf numFmtId="176" fontId="0" fillId="3" borderId="0" xfId="1" applyNumberFormat="1" applyFont="1" applyFill="1"/>
    <xf numFmtId="176" fontId="0" fillId="0" borderId="0" xfId="1" applyNumberFormat="1" applyFont="1"/>
    <xf numFmtId="176" fontId="0" fillId="5" borderId="0" xfId="1" applyNumberFormat="1" applyFont="1" applyFill="1"/>
    <xf numFmtId="176" fontId="2" fillId="3" borderId="0" xfId="1" applyNumberFormat="1" applyFont="1" applyFill="1"/>
    <xf numFmtId="3" fontId="0" fillId="0" borderId="0" xfId="1" applyNumberFormat="1" applyFont="1"/>
    <xf numFmtId="0" fontId="5" fillId="6" borderId="0" xfId="0" applyFont="1" applyFill="1" applyAlignment="1">
      <alignment vertical="center"/>
    </xf>
    <xf numFmtId="0" fontId="6" fillId="7" borderId="0" xfId="0" applyFont="1" applyFill="1"/>
    <xf numFmtId="0" fontId="7" fillId="8" borderId="0" xfId="0" applyFont="1" applyFill="1"/>
    <xf numFmtId="0" fontId="8" fillId="9" borderId="0" xfId="0" applyFont="1" applyFill="1"/>
    <xf numFmtId="177" fontId="8" fillId="9" borderId="0" xfId="0" applyNumberFormat="1" applyFont="1" applyFill="1"/>
    <xf numFmtId="0" fontId="11" fillId="12" borderId="0" xfId="0" applyFont="1" applyFill="1"/>
    <xf numFmtId="0" fontId="12" fillId="13" borderId="0" xfId="0" applyFont="1" applyFill="1" applyAlignment="1">
      <alignment vertical="center" wrapText="1"/>
    </xf>
    <xf numFmtId="0" fontId="15" fillId="15" borderId="2" xfId="0" applyFont="1" applyFill="1" applyBorder="1"/>
    <xf numFmtId="0" fontId="15" fillId="0" borderId="2" xfId="0" applyFont="1" applyBorder="1"/>
    <xf numFmtId="0" fontId="16" fillId="16" borderId="1" xfId="0" applyFont="1" applyFill="1" applyBorder="1"/>
    <xf numFmtId="0" fontId="5" fillId="6" borderId="0" xfId="0" applyFont="1" applyFill="1" applyAlignment="1">
      <alignment vertical="center"/>
    </xf>
    <xf numFmtId="0" fontId="11" fillId="12" borderId="0" xfId="0" applyFont="1" applyFill="1"/>
    <xf numFmtId="0" fontId="12" fillId="13" borderId="0" xfId="0" applyFont="1" applyFill="1" applyAlignment="1">
      <alignment vertical="center" wrapText="1"/>
    </xf>
    <xf numFmtId="0" fontId="9" fillId="10" borderId="0" xfId="0" applyFont="1" applyFill="1" applyAlignment="1">
      <alignment vertical="center"/>
    </xf>
    <xf numFmtId="177" fontId="9" fillId="10" borderId="0" xfId="0" applyNumberFormat="1" applyFont="1" applyFill="1" applyAlignment="1">
      <alignment vertical="center"/>
    </xf>
    <xf numFmtId="178" fontId="10" fillId="11" borderId="0" xfId="0" applyNumberFormat="1" applyFont="1" applyFill="1" applyAlignment="1">
      <alignment vertical="center"/>
    </xf>
    <xf numFmtId="177" fontId="10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vertical="center"/>
    </xf>
    <xf numFmtId="0" fontId="13" fillId="14" borderId="0" xfId="0" applyFont="1" applyFill="1" applyAlignment="1">
      <alignment vertical="center" wrapText="1"/>
    </xf>
    <xf numFmtId="0" fontId="14" fillId="10" borderId="0" xfId="0" applyFont="1" applyFill="1"/>
    <xf numFmtId="177" fontId="11" fillId="12" borderId="0" xfId="0" applyNumberFormat="1" applyFont="1" applyFill="1"/>
    <xf numFmtId="0" fontId="1" fillId="2" borderId="0" xfId="1" applyFont="1" applyFill="1"/>
    <xf numFmtId="180" fontId="7" fillId="8" borderId="0" xfId="0" applyNumberFormat="1" applyFont="1" applyFill="1"/>
  </cellXfs>
  <cellStyles count="2">
    <cellStyle name="Normal" xfId="1" xr:uid="{00000000-0005-0000-0000-000000000000}"/>
    <cellStyle name="標準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0" formatCode="General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0" formatCode="General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0" formatCode="General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/>
        <color rgb="FFB91C1C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rlito"/>
        <family val="2"/>
        <scheme val="none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固定費予算</c:v>
          </c:tx>
          <c:marker>
            <c:symbol val="none"/>
          </c:marker>
          <c:cat>
            <c:numRef>
              <c:f>シュラッター図!$A$4:$A$9</c:f>
              <c:numCache>
                <c:formatCode>General</c:formatCode>
                <c:ptCount val="6"/>
                <c:pt idx="0">
                  <c:v>0</c:v>
                </c:pt>
                <c:pt idx="1">
                  <c:v>200</c:v>
                </c:pt>
                <c:pt idx="2">
                  <c:v>400</c:v>
                </c:pt>
                <c:pt idx="3">
                  <c:v>600</c:v>
                </c:pt>
                <c:pt idx="4">
                  <c:v>800</c:v>
                </c:pt>
                <c:pt idx="5">
                  <c:v>1000</c:v>
                </c:pt>
              </c:numCache>
            </c:numRef>
          </c:cat>
          <c:val>
            <c:numRef>
              <c:f>シュラッター図!$B$4:$B$9</c:f>
              <c:numCache>
                <c:formatCode>#,##0</c:formatCode>
                <c:ptCount val="6"/>
                <c:pt idx="0">
                  <c:v>3000000</c:v>
                </c:pt>
                <c:pt idx="1">
                  <c:v>3000000</c:v>
                </c:pt>
                <c:pt idx="2">
                  <c:v>3000000</c:v>
                </c:pt>
                <c:pt idx="3">
                  <c:v>3000000</c:v>
                </c:pt>
                <c:pt idx="4">
                  <c:v>3000000</c:v>
                </c:pt>
                <c:pt idx="5">
                  <c:v>3000000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64-4958-8570-02FD13C2590D}"/>
            </c:ext>
          </c:extLst>
        </c:ser>
        <c:ser>
          <c:idx val="1"/>
          <c:order val="1"/>
          <c:tx>
            <c:v>実際発生額</c:v>
          </c:tx>
          <c:marker>
            <c:symbol val="none"/>
          </c:marker>
          <c:cat>
            <c:numRef>
              <c:f>シュラッター図!$A$4:$A$9</c:f>
              <c:numCache>
                <c:formatCode>General</c:formatCode>
                <c:ptCount val="6"/>
                <c:pt idx="0">
                  <c:v>0</c:v>
                </c:pt>
                <c:pt idx="1">
                  <c:v>200</c:v>
                </c:pt>
                <c:pt idx="2">
                  <c:v>400</c:v>
                </c:pt>
                <c:pt idx="3">
                  <c:v>600</c:v>
                </c:pt>
                <c:pt idx="4">
                  <c:v>800</c:v>
                </c:pt>
                <c:pt idx="5">
                  <c:v>1000</c:v>
                </c:pt>
              </c:numCache>
            </c:numRef>
          </c:cat>
          <c:val>
            <c:numRef>
              <c:f>シュラッター図!$C$4:$C$9</c:f>
              <c:numCache>
                <c:formatCode>#,##0</c:formatCode>
                <c:ptCount val="6"/>
                <c:pt idx="0">
                  <c:v>3200000</c:v>
                </c:pt>
                <c:pt idx="1">
                  <c:v>3200000</c:v>
                </c:pt>
                <c:pt idx="2">
                  <c:v>3200000</c:v>
                </c:pt>
                <c:pt idx="3">
                  <c:v>3200000</c:v>
                </c:pt>
                <c:pt idx="4">
                  <c:v>3200000</c:v>
                </c:pt>
                <c:pt idx="5">
                  <c:v>3200000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64-4958-8570-02FD13C2590D}"/>
            </c:ext>
          </c:extLst>
        </c:ser>
        <c:ser>
          <c:idx val="2"/>
          <c:order val="2"/>
          <c:tx>
            <c:v>予定配賦額</c:v>
          </c:tx>
          <c:marker>
            <c:symbol val="none"/>
          </c:marker>
          <c:cat>
            <c:numRef>
              <c:f>シュラッター図!$A$4:$A$9</c:f>
              <c:numCache>
                <c:formatCode>General</c:formatCode>
                <c:ptCount val="6"/>
                <c:pt idx="0">
                  <c:v>0</c:v>
                </c:pt>
                <c:pt idx="1">
                  <c:v>200</c:v>
                </c:pt>
                <c:pt idx="2">
                  <c:v>400</c:v>
                </c:pt>
                <c:pt idx="3">
                  <c:v>600</c:v>
                </c:pt>
                <c:pt idx="4">
                  <c:v>800</c:v>
                </c:pt>
                <c:pt idx="5">
                  <c:v>1000</c:v>
                </c:pt>
              </c:numCache>
            </c:numRef>
          </c:cat>
          <c:val>
            <c:numRef>
              <c:f>シュラッター図!$D$4:$D$9</c:f>
              <c:numCache>
                <c:formatCode>#,##0</c:formatCode>
                <c:ptCount val="6"/>
                <c:pt idx="0">
                  <c:v>0</c:v>
                </c:pt>
                <c:pt idx="1">
                  <c:v>600000</c:v>
                </c:pt>
                <c:pt idx="2">
                  <c:v>1200000</c:v>
                </c:pt>
                <c:pt idx="3">
                  <c:v>1800000</c:v>
                </c:pt>
                <c:pt idx="4">
                  <c:v>2400000</c:v>
                </c:pt>
                <c:pt idx="5">
                  <c:v>3000000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64-4958-8570-02FD13C25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solidFill>
              <a:srgbClr val="D9D9D9">
                <a:alpha val="93000"/>
              </a:srgbClr>
            </a:solidFill>
          </a:ln>
        </c:spPr>
        <c:crossAx val="48672768"/>
        <c:crosses val="autoZero"/>
        <c:auto val="1"/>
        <c:lblAlgn val="ctr"/>
        <c:lblOffset val="100"/>
        <c:tickLblSkip val="1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scatterChart>
        <c:scatterStyle val="lineMarker"/>
        <c:varyColors val="1"/>
        <c:ser>
          <c:idx val="0"/>
          <c:order val="0"/>
          <c:tx>
            <c:v>固定費予算</c:v>
          </c:tx>
          <c:xVal>
            <c:numRef>
              <c:f>分析ダッシュボード!$AA$3:$AA$4</c:f>
              <c:numCache>
                <c:formatCode>General</c:formatCode>
                <c:ptCount val="2"/>
                <c:pt idx="0">
                  <c:v>0</c:v>
                </c:pt>
                <c:pt idx="1">
                  <c:v>1000</c:v>
                </c:pt>
              </c:numCache>
            </c:numRef>
          </c:xVal>
          <c:yVal>
            <c:numRef>
              <c:f>分析ダッシュボード!$AB$3:$AB$4</c:f>
              <c:numCache>
                <c:formatCode>General</c:formatCode>
                <c:ptCount val="2"/>
                <c:pt idx="0">
                  <c:v>300</c:v>
                </c:pt>
                <c:pt idx="1">
                  <c:v>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DE3-4BA0-B8F0-5B119EDBF2DE}"/>
            </c:ext>
          </c:extLst>
        </c:ser>
        <c:ser>
          <c:idx val="1"/>
          <c:order val="1"/>
          <c:tx>
            <c:v>予定配賦額</c:v>
          </c:tx>
          <c:xVal>
            <c:numRef>
              <c:f>分析ダッシュボード!$AA$3:$AA$4</c:f>
              <c:numCache>
                <c:formatCode>General</c:formatCode>
                <c:ptCount val="2"/>
                <c:pt idx="0">
                  <c:v>0</c:v>
                </c:pt>
                <c:pt idx="1">
                  <c:v>1000</c:v>
                </c:pt>
              </c:numCache>
            </c:numRef>
          </c:xVal>
          <c:yVal>
            <c:numRef>
              <c:f>分析ダッシュボード!$AC$3:$AC$4</c:f>
              <c:numCache>
                <c:formatCode>General</c:formatCode>
                <c:ptCount val="2"/>
                <c:pt idx="0">
                  <c:v>0</c:v>
                </c:pt>
                <c:pt idx="1">
                  <c:v>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DE3-4BA0-B8F0-5B119EDBF2DE}"/>
            </c:ext>
          </c:extLst>
        </c:ser>
        <c:ser>
          <c:idx val="2"/>
          <c:order val="2"/>
          <c:tx>
            <c:v>実際発生額</c:v>
          </c:tx>
          <c:xVal>
            <c:numRef>
              <c:f>分析ダッシュボード!$AA$3:$AA$4</c:f>
              <c:numCache>
                <c:formatCode>General</c:formatCode>
                <c:ptCount val="2"/>
                <c:pt idx="0">
                  <c:v>0</c:v>
                </c:pt>
                <c:pt idx="1">
                  <c:v>1000</c:v>
                </c:pt>
              </c:numCache>
            </c:numRef>
          </c:xVal>
          <c:yVal>
            <c:numRef>
              <c:f>分析ダッシュボード!$AD$3:$AD$4</c:f>
              <c:numCache>
                <c:formatCode>General</c:formatCode>
                <c:ptCount val="2"/>
                <c:pt idx="0">
                  <c:v>320</c:v>
                </c:pt>
                <c:pt idx="1">
                  <c:v>320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DE3-4BA0-B8F0-5B119EDBF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ja-JP" altLang="en-US"/>
                  <a:t>製造間接費（万円）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650112"/>
        <c:crosses val="autoZero"/>
        <c:crossBetween val="midCat"/>
      </c:valAx>
      <c:valAx>
        <c:axId val="48650112"/>
        <c:scaling>
          <c:orientation val="minMax"/>
          <c:min val="0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ja-JP" altLang="en-US"/>
                  <a:t>操業度（時間）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8672768"/>
        <c:crosses val="autoZero"/>
        <c:crossBetween val="midCat"/>
        <c:majorUnit val="200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394970</xdr:colOff>
      <xdr:row>1</xdr:row>
      <xdr:rowOff>158750</xdr:rowOff>
    </xdr:from>
    <xdr:to>
      <xdr:col>15</xdr:col>
      <xdr:colOff>394970</xdr:colOff>
      <xdr:row>20</xdr:row>
      <xdr:rowOff>165100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22</xdr:col>
      <xdr:colOff>0</xdr:colOff>
      <xdr:row>32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6ED1F52-FBD3-463D-9CFA-F9DE26FDCF7D}" autoFormatId="20" applyNumberFormats="0" applyBorderFormats="0" applyFontFormats="0" applyPatternFormats="0" applyAlignmentFormats="0" applyWidthHeightFormats="0">
  <queryTableRefresh nextId="14">
    <queryTableFields count="13">
      <queryTableField id="1" name="年月" tableColumnId="1"/>
      <queryTableField id="2" name="部門コード" tableColumnId="2"/>
      <queryTableField id="3" name="固定費予算" tableColumnId="3"/>
      <queryTableField id="4" name="基準操業度" tableColumnId="4"/>
      <queryTableField id="5" name="実際発生額" tableColumnId="5"/>
      <queryTableField id="6" name="標準時間" tableColumnId="6"/>
      <queryTableField id="7" name="データチェック" tableColumnId="7"/>
      <queryTableField id="8" name="予定配賦率" tableColumnId="8"/>
      <queryTableField id="9" name="予定配賦額" tableColumnId="9"/>
      <queryTableField id="10" name="予算差異" tableColumnId="10"/>
      <queryTableField id="11" name="操業度差異" tableColumnId="11"/>
      <queryTableField id="12" name="差異合計" tableColumnId="12"/>
      <queryTableField id="13" name="差額チェック" tableColumnId="13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Budget" displayName="tblBudget" ref="A1:D19" totalsRowShown="0">
  <tableColumns count="4">
    <tableColumn id="1" xr3:uid="{00000000-0010-0000-0000-000001000000}" name="年月"/>
    <tableColumn id="2" xr3:uid="{00000000-0010-0000-0000-000002000000}" name="部門コード"/>
    <tableColumn id="3" xr3:uid="{00000000-0010-0000-0000-000003000000}" name="固定費予算"/>
    <tableColumn id="4" xr3:uid="{00000000-0010-0000-0000-000004000000}" name="基準操業度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Actual" displayName="tblActual" ref="A1:C19" totalsRowShown="0">
  <tableColumns count="3">
    <tableColumn id="1" xr3:uid="{00000000-0010-0000-0100-000001000000}" name="年月"/>
    <tableColumn id="2" xr3:uid="{00000000-0010-0000-0100-000002000000}" name="部門コード"/>
    <tableColumn id="3" xr3:uid="{00000000-0010-0000-0100-000003000000}" name="実際発生額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Standard" displayName="tblStandard" ref="A1:C19" totalsRowShown="0">
  <tableColumns count="3">
    <tableColumn id="1" xr3:uid="{00000000-0010-0000-0200-000001000000}" name="年月"/>
    <tableColumn id="2" xr3:uid="{00000000-0010-0000-0200-000002000000}" name="部門コード"/>
    <tableColumn id="3" xr3:uid="{00000000-0010-0000-0200-000003000000}" name="標準時間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024DF8-CFD2-424C-9630-B1117E7F0D47}" name="期待効果" displayName="期待効果" ref="A1:M19" tableType="queryTable" totalsRowShown="0" headerRowDxfId="16" dataDxfId="15" tableBorderDxfId="14">
  <autoFilter ref="A1:M19" xr:uid="{3E024DF8-CFD2-424C-9630-B1117E7F0D47}"/>
  <tableColumns count="13">
    <tableColumn id="1" xr3:uid="{F6BB773D-328D-4121-AFD6-9B4B4A92497A}" uniqueName="1" name="年月" queryTableFieldId="1" dataDxfId="2"/>
    <tableColumn id="2" xr3:uid="{9141C697-9FF4-4808-8314-0CB1DC05FACE}" uniqueName="2" name="部門コード" queryTableFieldId="2" dataDxfId="1"/>
    <tableColumn id="3" xr3:uid="{739CC3AB-323B-4287-B0B2-7507B3CA0B8F}" uniqueName="3" name="固定費予算" queryTableFieldId="3" dataDxfId="13"/>
    <tableColumn id="4" xr3:uid="{B9AEC6B8-358A-42AF-8DA1-957619D584CC}" uniqueName="4" name="基準操業度" queryTableFieldId="4" dataDxfId="12"/>
    <tableColumn id="5" xr3:uid="{9A6A0691-AAD6-46FB-93EA-99614F5993C0}" uniqueName="5" name="実際発生額" queryTableFieldId="5" dataDxfId="11"/>
    <tableColumn id="6" xr3:uid="{AA34DF47-20B1-41AD-BA4A-B4020F65641E}" uniqueName="6" name="標準時間" queryTableFieldId="6" dataDxfId="10"/>
    <tableColumn id="7" xr3:uid="{EF2EA65F-52DF-44C7-A9E0-4E4BC5DA97DB}" uniqueName="7" name="データチェック" queryTableFieldId="7" dataDxfId="0"/>
    <tableColumn id="8" xr3:uid="{F4542073-AE72-46A0-9412-D5B773EE3693}" uniqueName="8" name="予定配賦率" queryTableFieldId="8" dataDxfId="9"/>
    <tableColumn id="9" xr3:uid="{88E1CC7B-5F4C-4824-81B8-CE5A13B49806}" uniqueName="9" name="予定配賦額" queryTableFieldId="9" dataDxfId="8"/>
    <tableColumn id="10" xr3:uid="{3ED2AACB-8BCB-416E-8D63-851424C4F0AB}" uniqueName="10" name="予算差異" queryTableFieldId="10" dataDxfId="7"/>
    <tableColumn id="11" xr3:uid="{3772D82E-8CC1-40E9-8A70-5589E86BEAD3}" uniqueName="11" name="操業度差異" queryTableFieldId="11" dataDxfId="6"/>
    <tableColumn id="12" xr3:uid="{DC6C9FE2-B2EE-452D-8B63-F84A626D3AAE}" uniqueName="12" name="差異合計" queryTableFieldId="12" dataDxfId="5"/>
    <tableColumn id="13" xr3:uid="{DE7C11D8-87AB-45F3-932C-A251B9DDCCF2}" uniqueName="13" name="差額チェック" queryTableFieldId="13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4"/>
  <cols>
    <col min="1" max="1" width="40" customWidth="1"/>
    <col min="2" max="2" width="23" customWidth="1"/>
    <col min="3" max="3" width="25" customWidth="1"/>
    <col min="4" max="4" width="34" customWidth="1"/>
  </cols>
  <sheetData>
    <row r="1" spans="1:3" ht="9.65" customHeight="1">
      <c r="A1" s="3" t="s">
        <v>0</v>
      </c>
      <c r="B1" s="3" t="s">
        <v>1</v>
      </c>
    </row>
    <row r="2" spans="1:3">
      <c r="A2" t="s">
        <v>2</v>
      </c>
      <c r="B2" s="4">
        <v>3000000</v>
      </c>
      <c r="C2" t="s">
        <v>3</v>
      </c>
    </row>
    <row r="3" spans="1:3">
      <c r="A3" t="s">
        <v>4</v>
      </c>
      <c r="B3" s="4">
        <v>1000</v>
      </c>
    </row>
    <row r="4" spans="1:3">
      <c r="A4" t="s">
        <v>5</v>
      </c>
      <c r="B4" s="4">
        <v>3200000</v>
      </c>
    </row>
    <row r="5" spans="1:3">
      <c r="A5" t="s">
        <v>6</v>
      </c>
      <c r="B5" s="4">
        <v>800</v>
      </c>
    </row>
    <row r="6" spans="1:3">
      <c r="B6" s="5"/>
    </row>
    <row r="7" spans="1:3">
      <c r="A7" t="s">
        <v>7</v>
      </c>
      <c r="B7" s="6">
        <f>IFERROR(B2/B3,0)</f>
        <v>3000</v>
      </c>
      <c r="C7" t="s">
        <v>8</v>
      </c>
    </row>
    <row r="8" spans="1:3">
      <c r="A8" t="s">
        <v>9</v>
      </c>
      <c r="B8" s="6">
        <f>B7*B5</f>
        <v>2400000</v>
      </c>
    </row>
    <row r="9" spans="1:3">
      <c r="A9" t="s">
        <v>10</v>
      </c>
      <c r="B9" s="6">
        <f>B4-B2</f>
        <v>200000</v>
      </c>
      <c r="C9" t="s">
        <v>11</v>
      </c>
    </row>
    <row r="10" spans="1:3">
      <c r="A10" t="s">
        <v>12</v>
      </c>
      <c r="B10" s="6">
        <f>B2-B8</f>
        <v>600000</v>
      </c>
      <c r="C10" t="s">
        <v>13</v>
      </c>
    </row>
    <row r="11" spans="1:3" ht="9.65" customHeight="1">
      <c r="A11" s="1" t="s">
        <v>14</v>
      </c>
      <c r="B11" s="7">
        <f>B9+B10</f>
        <v>800000</v>
      </c>
    </row>
    <row r="12" spans="1:3">
      <c r="A12" t="s">
        <v>15</v>
      </c>
      <c r="B12" s="6">
        <f>B4-B8-B11</f>
        <v>0</v>
      </c>
      <c r="C12" t="s">
        <v>16</v>
      </c>
    </row>
  </sheetData>
  <phoneticPr fontId="17"/>
  <conditionalFormatting sqref="B9:B11">
    <cfRule type="cellIs" dxfId="3" priority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tabSelected="1" workbookViewId="0">
      <selection activeCell="E24" sqref="E24"/>
    </sheetView>
  </sheetViews>
  <sheetFormatPr defaultRowHeight="14"/>
  <cols>
    <col min="1" max="1" width="17" customWidth="1"/>
    <col min="2" max="4" width="21" customWidth="1"/>
    <col min="6" max="13" width="13" customWidth="1"/>
  </cols>
  <sheetData>
    <row r="1" spans="1:13" ht="39" customHeight="1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3" spans="1:13" ht="19" customHeight="1">
      <c r="A3" s="3" t="s">
        <v>18</v>
      </c>
      <c r="B3" s="3" t="s">
        <v>19</v>
      </c>
      <c r="C3" s="3" t="s">
        <v>5</v>
      </c>
      <c r="D3" s="3" t="s">
        <v>9</v>
      </c>
    </row>
    <row r="4" spans="1:13">
      <c r="A4">
        <v>0</v>
      </c>
      <c r="B4" s="8">
        <f>差異分析!$B$2</f>
        <v>3000000</v>
      </c>
      <c r="C4" s="8">
        <f>差異分析!$B$4</f>
        <v>3200000</v>
      </c>
      <c r="D4" s="8">
        <f>差異分析!$B$7*A4</f>
        <v>0</v>
      </c>
    </row>
    <row r="5" spans="1:13">
      <c r="A5">
        <v>200</v>
      </c>
      <c r="B5" s="8">
        <f>差異分析!$B$2</f>
        <v>3000000</v>
      </c>
      <c r="C5" s="8">
        <f>差異分析!$B$4</f>
        <v>3200000</v>
      </c>
      <c r="D5" s="8">
        <f>差異分析!$B$7*A5</f>
        <v>600000</v>
      </c>
    </row>
    <row r="6" spans="1:13">
      <c r="A6">
        <v>400</v>
      </c>
      <c r="B6" s="8">
        <f>差異分析!$B$2</f>
        <v>3000000</v>
      </c>
      <c r="C6" s="8">
        <f>差異分析!$B$4</f>
        <v>3200000</v>
      </c>
      <c r="D6" s="8">
        <f>差異分析!$B$7*A6</f>
        <v>1200000</v>
      </c>
    </row>
    <row r="7" spans="1:13">
      <c r="A7">
        <v>600</v>
      </c>
      <c r="B7" s="8">
        <f>差異分析!$B$2</f>
        <v>3000000</v>
      </c>
      <c r="C7" s="8">
        <f>差異分析!$B$4</f>
        <v>3200000</v>
      </c>
      <c r="D7" s="8">
        <f>差異分析!$B$7*A7</f>
        <v>1800000</v>
      </c>
    </row>
    <row r="8" spans="1:13">
      <c r="A8">
        <v>800</v>
      </c>
      <c r="B8" s="8">
        <f>差異分析!$B$2</f>
        <v>3000000</v>
      </c>
      <c r="C8" s="8">
        <f>差異分析!$B$4</f>
        <v>3200000</v>
      </c>
      <c r="D8" s="8">
        <f>差異分析!$B$7*A8</f>
        <v>2400000</v>
      </c>
    </row>
    <row r="9" spans="1:13">
      <c r="A9">
        <v>1000</v>
      </c>
      <c r="B9" s="8">
        <f>差異分析!$B$2</f>
        <v>3000000</v>
      </c>
      <c r="C9" s="8">
        <f>差異分析!$B$4</f>
        <v>3200000</v>
      </c>
      <c r="D9" s="8">
        <f>差異分析!$B$7*A9</f>
        <v>3000000</v>
      </c>
    </row>
    <row r="12" spans="1:13">
      <c r="A12" t="s">
        <v>10</v>
      </c>
      <c r="B12">
        <f>差異分析!B9</f>
        <v>200000</v>
      </c>
    </row>
    <row r="13" spans="1:13">
      <c r="A13" t="s">
        <v>12</v>
      </c>
      <c r="B13">
        <f>差異分析!B10</f>
        <v>600000</v>
      </c>
    </row>
    <row r="14" spans="1:13">
      <c r="A14" t="s">
        <v>14</v>
      </c>
      <c r="B14">
        <f>差異分析!B11</f>
        <v>800000</v>
      </c>
    </row>
    <row r="16" spans="1:13" ht="84">
      <c r="A16" s="2" t="s">
        <v>20</v>
      </c>
      <c r="B16" s="2"/>
      <c r="C16" s="2"/>
      <c r="D16" s="2"/>
    </row>
    <row r="17" spans="1:4">
      <c r="A17" s="2"/>
      <c r="B17" s="2"/>
      <c r="C17" s="2"/>
      <c r="D17" s="2"/>
    </row>
  </sheetData>
  <mergeCells count="1">
    <mergeCell ref="A1:M1"/>
  </mergeCells>
  <phoneticPr fontId="17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pane ySplit="1" topLeftCell="A2" activePane="bottomLeft" state="frozen"/>
      <selection pane="bottomLeft" activeCell="B17" sqref="B17"/>
    </sheetView>
  </sheetViews>
  <sheetFormatPr defaultRowHeight="14"/>
  <cols>
    <col min="1" max="1" width="17" customWidth="1"/>
    <col min="2" max="2" width="18" customWidth="1"/>
    <col min="3" max="4" width="22" customWidth="1"/>
  </cols>
  <sheetData>
    <row r="1" spans="1:4" ht="27" customHeight="1">
      <c r="A1" s="3" t="s">
        <v>21</v>
      </c>
      <c r="B1" s="3" t="s">
        <v>22</v>
      </c>
      <c r="C1" s="3" t="s">
        <v>19</v>
      </c>
      <c r="D1" s="3" t="s">
        <v>4</v>
      </c>
    </row>
    <row r="2" spans="1:4">
      <c r="A2" t="s">
        <v>23</v>
      </c>
      <c r="B2" t="s">
        <v>24</v>
      </c>
      <c r="C2">
        <v>3000000</v>
      </c>
      <c r="D2">
        <v>1000</v>
      </c>
    </row>
    <row r="3" spans="1:4">
      <c r="A3" t="s">
        <v>23</v>
      </c>
      <c r="B3" t="s">
        <v>25</v>
      </c>
      <c r="C3">
        <v>3350000</v>
      </c>
      <c r="D3">
        <v>1100</v>
      </c>
    </row>
    <row r="4" spans="1:4">
      <c r="A4" t="s">
        <v>23</v>
      </c>
      <c r="B4" t="s">
        <v>26</v>
      </c>
      <c r="C4">
        <v>3700000</v>
      </c>
      <c r="D4">
        <v>1200</v>
      </c>
    </row>
    <row r="5" spans="1:4">
      <c r="A5" t="s">
        <v>27</v>
      </c>
      <c r="B5" t="s">
        <v>24</v>
      </c>
      <c r="C5">
        <v>3050000</v>
      </c>
      <c r="D5">
        <v>1000</v>
      </c>
    </row>
    <row r="6" spans="1:4">
      <c r="A6" t="s">
        <v>27</v>
      </c>
      <c r="B6" t="s">
        <v>25</v>
      </c>
      <c r="C6">
        <v>3400000</v>
      </c>
      <c r="D6">
        <v>1100</v>
      </c>
    </row>
    <row r="7" spans="1:4">
      <c r="A7" t="s">
        <v>27</v>
      </c>
      <c r="B7" t="s">
        <v>26</v>
      </c>
      <c r="C7">
        <v>3750000</v>
      </c>
      <c r="D7">
        <v>1200</v>
      </c>
    </row>
    <row r="8" spans="1:4">
      <c r="A8" t="s">
        <v>28</v>
      </c>
      <c r="B8" t="s">
        <v>24</v>
      </c>
      <c r="C8">
        <v>3100000</v>
      </c>
      <c r="D8">
        <v>1000</v>
      </c>
    </row>
    <row r="9" spans="1:4">
      <c r="A9" t="s">
        <v>28</v>
      </c>
      <c r="B9" t="s">
        <v>25</v>
      </c>
      <c r="C9">
        <v>3450000</v>
      </c>
      <c r="D9">
        <v>1100</v>
      </c>
    </row>
    <row r="10" spans="1:4">
      <c r="A10" t="s">
        <v>28</v>
      </c>
      <c r="B10" t="s">
        <v>26</v>
      </c>
      <c r="C10">
        <v>3800000</v>
      </c>
      <c r="D10">
        <v>1200</v>
      </c>
    </row>
    <row r="11" spans="1:4">
      <c r="A11" t="s">
        <v>29</v>
      </c>
      <c r="B11" t="s">
        <v>24</v>
      </c>
      <c r="C11">
        <v>3150000</v>
      </c>
      <c r="D11">
        <v>1000</v>
      </c>
    </row>
    <row r="12" spans="1:4">
      <c r="A12" t="s">
        <v>29</v>
      </c>
      <c r="B12" t="s">
        <v>25</v>
      </c>
      <c r="C12">
        <v>3500000</v>
      </c>
      <c r="D12">
        <v>1100</v>
      </c>
    </row>
    <row r="13" spans="1:4">
      <c r="A13" t="s">
        <v>29</v>
      </c>
      <c r="B13" t="s">
        <v>26</v>
      </c>
      <c r="C13">
        <v>3850000</v>
      </c>
      <c r="D13">
        <v>1200</v>
      </c>
    </row>
    <row r="14" spans="1:4">
      <c r="A14" t="s">
        <v>30</v>
      </c>
      <c r="B14" t="s">
        <v>24</v>
      </c>
      <c r="C14">
        <v>3200000</v>
      </c>
      <c r="D14">
        <v>1000</v>
      </c>
    </row>
    <row r="15" spans="1:4">
      <c r="A15" t="s">
        <v>30</v>
      </c>
      <c r="B15" t="s">
        <v>25</v>
      </c>
      <c r="C15">
        <v>3550000</v>
      </c>
      <c r="D15">
        <v>1100</v>
      </c>
    </row>
    <row r="16" spans="1:4">
      <c r="A16" t="s">
        <v>30</v>
      </c>
      <c r="B16" t="s">
        <v>26</v>
      </c>
      <c r="C16">
        <v>3900000</v>
      </c>
      <c r="D16">
        <v>1200</v>
      </c>
    </row>
    <row r="17" spans="1:4">
      <c r="A17" t="s">
        <v>31</v>
      </c>
      <c r="B17" t="s">
        <v>24</v>
      </c>
      <c r="C17">
        <v>3250000</v>
      </c>
      <c r="D17">
        <v>1000</v>
      </c>
    </row>
    <row r="18" spans="1:4">
      <c r="A18" t="s">
        <v>31</v>
      </c>
      <c r="B18" t="s">
        <v>25</v>
      </c>
      <c r="C18">
        <v>3600000</v>
      </c>
      <c r="D18">
        <v>1100</v>
      </c>
    </row>
    <row r="19" spans="1:4">
      <c r="A19" t="s">
        <v>31</v>
      </c>
      <c r="B19" t="s">
        <v>26</v>
      </c>
      <c r="C19">
        <v>3950000</v>
      </c>
      <c r="D19">
        <v>1200</v>
      </c>
    </row>
  </sheetData>
  <phoneticPr fontId="17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>
      <pane ySplit="1" topLeftCell="A2" activePane="bottomLeft" state="frozen"/>
      <selection pane="bottomLeft"/>
    </sheetView>
  </sheetViews>
  <sheetFormatPr defaultRowHeight="14"/>
  <cols>
    <col min="1" max="1" width="17" customWidth="1"/>
    <col min="2" max="2" width="18" customWidth="1"/>
    <col min="3" max="4" width="22" customWidth="1"/>
  </cols>
  <sheetData>
    <row r="1" spans="1:3" ht="27" customHeight="1">
      <c r="A1" s="3" t="s">
        <v>21</v>
      </c>
      <c r="B1" s="3" t="s">
        <v>22</v>
      </c>
      <c r="C1" s="3" t="s">
        <v>5</v>
      </c>
    </row>
    <row r="2" spans="1:3">
      <c r="A2" t="s">
        <v>23</v>
      </c>
      <c r="B2" t="s">
        <v>24</v>
      </c>
      <c r="C2">
        <v>3200000</v>
      </c>
    </row>
    <row r="3" spans="1:3">
      <c r="A3" t="s">
        <v>23</v>
      </c>
      <c r="B3" t="s">
        <v>25</v>
      </c>
      <c r="C3">
        <v>3465000</v>
      </c>
    </row>
    <row r="4" spans="1:3">
      <c r="A4" t="s">
        <v>23</v>
      </c>
      <c r="B4" t="s">
        <v>26</v>
      </c>
      <c r="C4">
        <v>3560000</v>
      </c>
    </row>
    <row r="5" spans="1:3">
      <c r="A5" t="s">
        <v>27</v>
      </c>
      <c r="B5" t="s">
        <v>24</v>
      </c>
      <c r="C5">
        <v>3150000</v>
      </c>
    </row>
    <row r="6" spans="1:3">
      <c r="A6" t="s">
        <v>27</v>
      </c>
      <c r="B6" t="s">
        <v>25</v>
      </c>
      <c r="C6">
        <v>3275000</v>
      </c>
    </row>
    <row r="7" spans="1:3">
      <c r="A7" t="s">
        <v>27</v>
      </c>
      <c r="B7" t="s">
        <v>26</v>
      </c>
      <c r="C7">
        <v>3900000</v>
      </c>
    </row>
    <row r="8" spans="1:3">
      <c r="A8" t="s">
        <v>28</v>
      </c>
      <c r="B8" t="s">
        <v>24</v>
      </c>
      <c r="C8">
        <v>2990000</v>
      </c>
    </row>
    <row r="9" spans="1:3">
      <c r="A9" t="s">
        <v>28</v>
      </c>
      <c r="B9" t="s">
        <v>25</v>
      </c>
      <c r="C9">
        <v>3585000</v>
      </c>
    </row>
    <row r="10" spans="1:3">
      <c r="A10" t="s">
        <v>28</v>
      </c>
      <c r="B10" t="s">
        <v>26</v>
      </c>
      <c r="C10">
        <v>3640000</v>
      </c>
    </row>
    <row r="11" spans="1:3">
      <c r="A11" t="s">
        <v>29</v>
      </c>
      <c r="B11" t="s">
        <v>24</v>
      </c>
      <c r="C11">
        <v>3270000</v>
      </c>
    </row>
    <row r="12" spans="1:3">
      <c r="A12" t="s">
        <v>29</v>
      </c>
      <c r="B12" t="s">
        <v>25</v>
      </c>
      <c r="C12">
        <v>3355000</v>
      </c>
    </row>
    <row r="13" spans="1:3">
      <c r="A13" t="s">
        <v>29</v>
      </c>
      <c r="B13" t="s">
        <v>26</v>
      </c>
      <c r="C13">
        <v>4020000</v>
      </c>
    </row>
    <row r="14" spans="1:3">
      <c r="A14" t="s">
        <v>30</v>
      </c>
      <c r="B14" t="s">
        <v>24</v>
      </c>
      <c r="C14">
        <v>3070000</v>
      </c>
    </row>
    <row r="15" spans="1:3">
      <c r="A15" t="s">
        <v>30</v>
      </c>
      <c r="B15" t="s">
        <v>25</v>
      </c>
      <c r="C15">
        <v>3705000</v>
      </c>
    </row>
    <row r="16" spans="1:3">
      <c r="A16" t="s">
        <v>30</v>
      </c>
      <c r="B16" t="s">
        <v>26</v>
      </c>
      <c r="C16">
        <v>3720000</v>
      </c>
    </row>
    <row r="17" spans="1:3">
      <c r="A17" t="s">
        <v>31</v>
      </c>
      <c r="B17" t="s">
        <v>24</v>
      </c>
      <c r="C17">
        <v>3390000</v>
      </c>
    </row>
    <row r="18" spans="1:3">
      <c r="A18" t="s">
        <v>31</v>
      </c>
      <c r="B18" t="s">
        <v>25</v>
      </c>
      <c r="C18">
        <v>3435000</v>
      </c>
    </row>
    <row r="19" spans="1:3">
      <c r="A19" t="s">
        <v>31</v>
      </c>
      <c r="B19" t="s">
        <v>26</v>
      </c>
      <c r="C19">
        <v>4140000</v>
      </c>
    </row>
  </sheetData>
  <phoneticPr fontId="17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"/>
  <sheetViews>
    <sheetView workbookViewId="0">
      <pane ySplit="1" topLeftCell="A2" activePane="bottomLeft" state="frozen"/>
      <selection pane="bottomLeft" activeCell="C58" sqref="C58"/>
    </sheetView>
  </sheetViews>
  <sheetFormatPr defaultRowHeight="14"/>
  <cols>
    <col min="1" max="1" width="17" customWidth="1"/>
    <col min="2" max="2" width="18" customWidth="1"/>
    <col min="3" max="4" width="22" customWidth="1"/>
  </cols>
  <sheetData>
    <row r="1" spans="1:3" ht="27" customHeight="1">
      <c r="A1" s="3" t="s">
        <v>21</v>
      </c>
      <c r="B1" s="3" t="s">
        <v>22</v>
      </c>
      <c r="C1" s="3" t="s">
        <v>32</v>
      </c>
    </row>
    <row r="2" spans="1:3">
      <c r="A2" t="s">
        <v>23</v>
      </c>
      <c r="B2" t="s">
        <v>24</v>
      </c>
      <c r="C2">
        <v>800</v>
      </c>
    </row>
    <row r="3" spans="1:3">
      <c r="A3" t="s">
        <v>23</v>
      </c>
      <c r="B3" t="s">
        <v>25</v>
      </c>
      <c r="C3">
        <v>950</v>
      </c>
    </row>
    <row r="4" spans="1:3">
      <c r="A4" t="s">
        <v>23</v>
      </c>
      <c r="B4" t="s">
        <v>26</v>
      </c>
      <c r="C4">
        <v>995</v>
      </c>
    </row>
    <row r="5" spans="1:3">
      <c r="A5" t="s">
        <v>27</v>
      </c>
      <c r="B5" t="s">
        <v>24</v>
      </c>
      <c r="C5">
        <v>850</v>
      </c>
    </row>
    <row r="6" spans="1:3">
      <c r="A6" t="s">
        <v>27</v>
      </c>
      <c r="B6" t="s">
        <v>25</v>
      </c>
      <c r="C6">
        <v>895</v>
      </c>
    </row>
    <row r="7" spans="1:3">
      <c r="A7" t="s">
        <v>27</v>
      </c>
      <c r="B7" t="s">
        <v>26</v>
      </c>
      <c r="C7">
        <v>1160</v>
      </c>
    </row>
    <row r="8" spans="1:3">
      <c r="A8" t="s">
        <v>28</v>
      </c>
      <c r="B8" t="s">
        <v>24</v>
      </c>
      <c r="C8">
        <v>795</v>
      </c>
    </row>
    <row r="9" spans="1:3">
      <c r="A9" t="s">
        <v>28</v>
      </c>
      <c r="B9" t="s">
        <v>25</v>
      </c>
      <c r="C9">
        <v>1060</v>
      </c>
    </row>
    <row r="10" spans="1:3">
      <c r="A10" t="s">
        <v>28</v>
      </c>
      <c r="B10" t="s">
        <v>26</v>
      </c>
      <c r="C10">
        <v>1105</v>
      </c>
    </row>
    <row r="11" spans="1:3">
      <c r="A11" t="s">
        <v>29</v>
      </c>
      <c r="B11" t="s">
        <v>24</v>
      </c>
      <c r="C11">
        <v>960</v>
      </c>
    </row>
    <row r="12" spans="1:3">
      <c r="A12" t="s">
        <v>29</v>
      </c>
      <c r="B12" t="s">
        <v>25</v>
      </c>
      <c r="C12">
        <v>1005</v>
      </c>
    </row>
    <row r="13" spans="1:3">
      <c r="A13" t="s">
        <v>29</v>
      </c>
      <c r="B13" t="s">
        <v>26</v>
      </c>
      <c r="C13">
        <v>1050</v>
      </c>
    </row>
    <row r="14" spans="1:3">
      <c r="A14" t="s">
        <v>30</v>
      </c>
      <c r="B14" t="s">
        <v>24</v>
      </c>
      <c r="C14">
        <v>905</v>
      </c>
    </row>
    <row r="15" spans="1:3">
      <c r="A15" t="s">
        <v>30</v>
      </c>
      <c r="B15" t="s">
        <v>25</v>
      </c>
      <c r="C15">
        <v>950</v>
      </c>
    </row>
    <row r="16" spans="1:3">
      <c r="A16" t="s">
        <v>30</v>
      </c>
      <c r="B16" t="s">
        <v>26</v>
      </c>
      <c r="C16">
        <v>995</v>
      </c>
    </row>
    <row r="17" spans="1:3">
      <c r="A17" t="s">
        <v>31</v>
      </c>
      <c r="B17" t="s">
        <v>24</v>
      </c>
      <c r="C17">
        <v>850</v>
      </c>
    </row>
    <row r="18" spans="1:3">
      <c r="A18" t="s">
        <v>31</v>
      </c>
      <c r="B18" t="s">
        <v>25</v>
      </c>
      <c r="C18">
        <v>895</v>
      </c>
    </row>
    <row r="19" spans="1:3">
      <c r="A19" t="s">
        <v>31</v>
      </c>
      <c r="B19" t="s">
        <v>26</v>
      </c>
      <c r="C19">
        <v>1160</v>
      </c>
    </row>
  </sheetData>
  <phoneticPr fontId="17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9"/>
  <sheetViews>
    <sheetView zoomScale="145" zoomScaleNormal="145" workbookViewId="0">
      <selection activeCell="J16" sqref="J16"/>
    </sheetView>
  </sheetViews>
  <sheetFormatPr defaultRowHeight="14"/>
  <cols>
    <col min="1" max="1" width="7.9140625" bestFit="1" customWidth="1"/>
    <col min="2" max="5" width="12.9140625" customWidth="1"/>
    <col min="6" max="6" width="10.9140625" customWidth="1"/>
    <col min="7" max="7" width="17" customWidth="1"/>
    <col min="8" max="9" width="12.9140625" customWidth="1"/>
    <col min="10" max="10" width="10.9140625" customWidth="1"/>
    <col min="11" max="11" width="12.9140625" customWidth="1"/>
    <col min="12" max="12" width="12.58203125" bestFit="1" customWidth="1"/>
    <col min="13" max="13" width="15" customWidth="1"/>
  </cols>
  <sheetData>
    <row r="1" spans="1:13">
      <c r="A1" s="18" t="s">
        <v>21</v>
      </c>
      <c r="B1" s="18" t="s">
        <v>22</v>
      </c>
      <c r="C1" s="18" t="s">
        <v>19</v>
      </c>
      <c r="D1" s="18" t="s">
        <v>4</v>
      </c>
      <c r="E1" s="18" t="s">
        <v>5</v>
      </c>
      <c r="F1" s="18" t="s">
        <v>32</v>
      </c>
      <c r="G1" s="18" t="s">
        <v>33</v>
      </c>
      <c r="H1" s="18" t="s">
        <v>7</v>
      </c>
      <c r="I1" s="18" t="s">
        <v>9</v>
      </c>
      <c r="J1" s="18" t="s">
        <v>10</v>
      </c>
      <c r="K1" s="18" t="s">
        <v>12</v>
      </c>
      <c r="L1" s="18" t="s">
        <v>14</v>
      </c>
      <c r="M1" s="18" t="s">
        <v>15</v>
      </c>
    </row>
    <row r="2" spans="1:13">
      <c r="A2" s="16" t="s">
        <v>23</v>
      </c>
      <c r="B2" s="16" t="s">
        <v>26</v>
      </c>
      <c r="C2">
        <v>3700000</v>
      </c>
      <c r="D2">
        <v>1200</v>
      </c>
      <c r="E2">
        <v>3560000</v>
      </c>
      <c r="F2">
        <v>995</v>
      </c>
      <c r="G2" s="16" t="s">
        <v>34</v>
      </c>
      <c r="H2">
        <v>3083.3333333333335</v>
      </c>
      <c r="I2">
        <v>3067916.666666667</v>
      </c>
      <c r="J2">
        <v>-140000</v>
      </c>
      <c r="K2">
        <v>632083.33333333302</v>
      </c>
      <c r="L2">
        <v>492083.33333333302</v>
      </c>
      <c r="M2">
        <v>0</v>
      </c>
    </row>
    <row r="3" spans="1:13">
      <c r="A3" s="17" t="s">
        <v>23</v>
      </c>
      <c r="B3" s="17" t="s">
        <v>24</v>
      </c>
      <c r="C3">
        <v>3000000</v>
      </c>
      <c r="D3">
        <v>1000</v>
      </c>
      <c r="E3">
        <v>3200000</v>
      </c>
      <c r="F3">
        <v>800</v>
      </c>
      <c r="G3" s="17" t="s">
        <v>34</v>
      </c>
      <c r="H3">
        <v>3000</v>
      </c>
      <c r="I3">
        <v>2400000</v>
      </c>
      <c r="J3">
        <v>200000</v>
      </c>
      <c r="K3">
        <v>600000</v>
      </c>
      <c r="L3">
        <v>800000</v>
      </c>
      <c r="M3">
        <v>0</v>
      </c>
    </row>
    <row r="4" spans="1:13">
      <c r="A4" s="16" t="s">
        <v>23</v>
      </c>
      <c r="B4" s="16" t="s">
        <v>25</v>
      </c>
      <c r="C4">
        <v>3350000</v>
      </c>
      <c r="D4">
        <v>1100</v>
      </c>
      <c r="E4">
        <v>3465000</v>
      </c>
      <c r="F4">
        <v>950</v>
      </c>
      <c r="G4" s="16" t="s">
        <v>34</v>
      </c>
      <c r="H4">
        <v>3045.4545454545455</v>
      </c>
      <c r="I4">
        <v>2893181.8181818184</v>
      </c>
      <c r="J4">
        <v>115000</v>
      </c>
      <c r="K4">
        <v>456818.18181818165</v>
      </c>
      <c r="L4">
        <v>571818.18181818165</v>
      </c>
      <c r="M4">
        <v>0</v>
      </c>
    </row>
    <row r="5" spans="1:13">
      <c r="A5" s="17" t="s">
        <v>27</v>
      </c>
      <c r="B5" s="17" t="s">
        <v>26</v>
      </c>
      <c r="C5">
        <v>3750000</v>
      </c>
      <c r="D5">
        <v>1200</v>
      </c>
      <c r="E5">
        <v>3900000</v>
      </c>
      <c r="F5">
        <v>1160</v>
      </c>
      <c r="G5" s="17" t="s">
        <v>34</v>
      </c>
      <c r="H5">
        <v>3125</v>
      </c>
      <c r="I5">
        <v>3625000</v>
      </c>
      <c r="J5">
        <v>150000</v>
      </c>
      <c r="K5">
        <v>125000</v>
      </c>
      <c r="L5">
        <v>275000</v>
      </c>
      <c r="M5">
        <v>0</v>
      </c>
    </row>
    <row r="6" spans="1:13">
      <c r="A6" s="16" t="s">
        <v>27</v>
      </c>
      <c r="B6" s="16" t="s">
        <v>24</v>
      </c>
      <c r="C6">
        <v>3050000</v>
      </c>
      <c r="D6">
        <v>1000</v>
      </c>
      <c r="E6">
        <v>3150000</v>
      </c>
      <c r="F6">
        <v>850</v>
      </c>
      <c r="G6" s="16" t="s">
        <v>34</v>
      </c>
      <c r="H6">
        <v>3050</v>
      </c>
      <c r="I6">
        <v>2592500</v>
      </c>
      <c r="J6">
        <v>100000</v>
      </c>
      <c r="K6">
        <v>457500</v>
      </c>
      <c r="L6">
        <v>557500</v>
      </c>
      <c r="M6">
        <v>0</v>
      </c>
    </row>
    <row r="7" spans="1:13">
      <c r="A7" s="17" t="s">
        <v>27</v>
      </c>
      <c r="B7" s="17" t="s">
        <v>25</v>
      </c>
      <c r="C7">
        <v>3400000</v>
      </c>
      <c r="D7">
        <v>1100</v>
      </c>
      <c r="E7">
        <v>3275000</v>
      </c>
      <c r="F7">
        <v>895</v>
      </c>
      <c r="G7" s="17" t="s">
        <v>34</v>
      </c>
      <c r="H7">
        <v>3090.909090909091</v>
      </c>
      <c r="I7">
        <v>2766363.6363636362</v>
      </c>
      <c r="J7">
        <v>-125000</v>
      </c>
      <c r="K7">
        <v>633636.36363636376</v>
      </c>
      <c r="L7">
        <v>508636.36363636376</v>
      </c>
      <c r="M7">
        <v>0</v>
      </c>
    </row>
    <row r="8" spans="1:13">
      <c r="A8" s="16" t="s">
        <v>28</v>
      </c>
      <c r="B8" s="16" t="s">
        <v>26</v>
      </c>
      <c r="C8">
        <v>3800000</v>
      </c>
      <c r="D8">
        <v>1200</v>
      </c>
      <c r="E8">
        <v>3640000</v>
      </c>
      <c r="F8">
        <v>1105</v>
      </c>
      <c r="G8" s="16" t="s">
        <v>34</v>
      </c>
      <c r="H8">
        <v>3166.6666666666665</v>
      </c>
      <c r="I8">
        <v>3499166.6666666665</v>
      </c>
      <c r="J8">
        <v>-160000</v>
      </c>
      <c r="K8">
        <v>300833.33333333349</v>
      </c>
      <c r="L8">
        <v>140833.33333333349</v>
      </c>
      <c r="M8">
        <v>0</v>
      </c>
    </row>
    <row r="9" spans="1:13">
      <c r="A9" s="17" t="s">
        <v>28</v>
      </c>
      <c r="B9" s="17" t="s">
        <v>24</v>
      </c>
      <c r="C9">
        <v>3100000</v>
      </c>
      <c r="D9">
        <v>1000</v>
      </c>
      <c r="E9">
        <v>2990000</v>
      </c>
      <c r="F9">
        <v>795</v>
      </c>
      <c r="G9" s="17" t="s">
        <v>34</v>
      </c>
      <c r="H9">
        <v>3100</v>
      </c>
      <c r="I9">
        <v>2464500</v>
      </c>
      <c r="J9">
        <v>-110000</v>
      </c>
      <c r="K9">
        <v>635500</v>
      </c>
      <c r="L9">
        <v>525500</v>
      </c>
      <c r="M9">
        <v>0</v>
      </c>
    </row>
    <row r="10" spans="1:13">
      <c r="A10" s="16" t="s">
        <v>28</v>
      </c>
      <c r="B10" s="16" t="s">
        <v>25</v>
      </c>
      <c r="C10">
        <v>3450000</v>
      </c>
      <c r="D10">
        <v>1100</v>
      </c>
      <c r="E10">
        <v>3585000</v>
      </c>
      <c r="F10">
        <v>1060</v>
      </c>
      <c r="G10" s="16" t="s">
        <v>34</v>
      </c>
      <c r="H10">
        <v>3136.3636363636365</v>
      </c>
      <c r="I10">
        <v>3324545.4545454546</v>
      </c>
      <c r="J10">
        <v>135000</v>
      </c>
      <c r="K10">
        <v>125454.54545454541</v>
      </c>
      <c r="L10">
        <v>260454.54545454541</v>
      </c>
      <c r="M10">
        <v>0</v>
      </c>
    </row>
    <row r="11" spans="1:13">
      <c r="A11" s="17" t="s">
        <v>29</v>
      </c>
      <c r="B11" s="17" t="s">
        <v>26</v>
      </c>
      <c r="C11">
        <v>3850000</v>
      </c>
      <c r="D11">
        <v>1200</v>
      </c>
      <c r="E11">
        <v>4020000</v>
      </c>
      <c r="F11">
        <v>1050</v>
      </c>
      <c r="G11" s="17" t="s">
        <v>34</v>
      </c>
      <c r="H11">
        <v>3208.3333333333335</v>
      </c>
      <c r="I11">
        <v>3368750</v>
      </c>
      <c r="J11">
        <v>170000</v>
      </c>
      <c r="K11">
        <v>481250</v>
      </c>
      <c r="L11">
        <v>651250</v>
      </c>
      <c r="M11">
        <v>0</v>
      </c>
    </row>
    <row r="12" spans="1:13">
      <c r="A12" s="16" t="s">
        <v>29</v>
      </c>
      <c r="B12" s="16" t="s">
        <v>24</v>
      </c>
      <c r="C12">
        <v>3150000</v>
      </c>
      <c r="D12">
        <v>1000</v>
      </c>
      <c r="E12">
        <v>3270000</v>
      </c>
      <c r="F12">
        <v>960</v>
      </c>
      <c r="G12" s="16" t="s">
        <v>34</v>
      </c>
      <c r="H12">
        <v>3150</v>
      </c>
      <c r="I12">
        <v>3024000</v>
      </c>
      <c r="J12">
        <v>120000</v>
      </c>
      <c r="K12">
        <v>126000</v>
      </c>
      <c r="L12">
        <v>246000</v>
      </c>
      <c r="M12">
        <v>0</v>
      </c>
    </row>
    <row r="13" spans="1:13">
      <c r="A13" s="17" t="s">
        <v>29</v>
      </c>
      <c r="B13" s="17" t="s">
        <v>25</v>
      </c>
      <c r="C13">
        <v>3500000</v>
      </c>
      <c r="D13">
        <v>1100</v>
      </c>
      <c r="E13">
        <v>3355000</v>
      </c>
      <c r="F13">
        <v>1005</v>
      </c>
      <c r="G13" s="17" t="s">
        <v>34</v>
      </c>
      <c r="H13">
        <v>3181.818181818182</v>
      </c>
      <c r="I13">
        <v>3197727.2727272729</v>
      </c>
      <c r="J13">
        <v>-145000</v>
      </c>
      <c r="K13">
        <v>302272.72727272706</v>
      </c>
      <c r="L13">
        <v>157272.72727272706</v>
      </c>
      <c r="M13">
        <v>0</v>
      </c>
    </row>
    <row r="14" spans="1:13">
      <c r="A14" s="16" t="s">
        <v>30</v>
      </c>
      <c r="B14" s="16" t="s">
        <v>26</v>
      </c>
      <c r="C14">
        <v>3900000</v>
      </c>
      <c r="D14">
        <v>1200</v>
      </c>
      <c r="E14">
        <v>3720000</v>
      </c>
      <c r="F14">
        <v>995</v>
      </c>
      <c r="G14" s="16" t="s">
        <v>34</v>
      </c>
      <c r="H14">
        <v>3250</v>
      </c>
      <c r="I14">
        <v>3233750</v>
      </c>
      <c r="J14">
        <v>-180000</v>
      </c>
      <c r="K14">
        <v>666250</v>
      </c>
      <c r="L14">
        <v>486250</v>
      </c>
      <c r="M14">
        <v>0</v>
      </c>
    </row>
    <row r="15" spans="1:13">
      <c r="A15" s="17" t="s">
        <v>30</v>
      </c>
      <c r="B15" s="17" t="s">
        <v>24</v>
      </c>
      <c r="C15">
        <v>3200000</v>
      </c>
      <c r="D15">
        <v>1000</v>
      </c>
      <c r="E15">
        <v>3070000</v>
      </c>
      <c r="F15">
        <v>905</v>
      </c>
      <c r="G15" s="17" t="s">
        <v>34</v>
      </c>
      <c r="H15">
        <v>3200</v>
      </c>
      <c r="I15">
        <v>2896000</v>
      </c>
      <c r="J15">
        <v>-130000</v>
      </c>
      <c r="K15">
        <v>304000</v>
      </c>
      <c r="L15">
        <v>174000</v>
      </c>
      <c r="M15">
        <v>0</v>
      </c>
    </row>
    <row r="16" spans="1:13">
      <c r="A16" s="16" t="s">
        <v>30</v>
      </c>
      <c r="B16" s="16" t="s">
        <v>25</v>
      </c>
      <c r="C16">
        <v>3550000</v>
      </c>
      <c r="D16">
        <v>1100</v>
      </c>
      <c r="E16">
        <v>3705000</v>
      </c>
      <c r="F16">
        <v>950</v>
      </c>
      <c r="G16" s="16" t="s">
        <v>34</v>
      </c>
      <c r="H16">
        <v>3227.2727272727275</v>
      </c>
      <c r="I16">
        <v>3065909.0909090913</v>
      </c>
      <c r="J16">
        <v>155000</v>
      </c>
      <c r="K16">
        <v>484090.90909090871</v>
      </c>
      <c r="L16">
        <v>639090.90909090871</v>
      </c>
      <c r="M16">
        <v>0</v>
      </c>
    </row>
    <row r="17" spans="1:13">
      <c r="A17" s="17" t="s">
        <v>31</v>
      </c>
      <c r="B17" s="17" t="s">
        <v>26</v>
      </c>
      <c r="C17">
        <v>3950000</v>
      </c>
      <c r="D17">
        <v>1200</v>
      </c>
      <c r="E17">
        <v>4140000</v>
      </c>
      <c r="F17">
        <v>1160</v>
      </c>
      <c r="G17" s="17" t="s">
        <v>34</v>
      </c>
      <c r="H17">
        <v>3291.6666666666665</v>
      </c>
      <c r="I17">
        <v>3818333.333333333</v>
      </c>
      <c r="J17">
        <v>190000</v>
      </c>
      <c r="K17">
        <v>131666.66666666698</v>
      </c>
      <c r="L17">
        <v>321666.66666666698</v>
      </c>
      <c r="M17">
        <v>0</v>
      </c>
    </row>
    <row r="18" spans="1:13">
      <c r="A18" s="16" t="s">
        <v>31</v>
      </c>
      <c r="B18" s="16" t="s">
        <v>24</v>
      </c>
      <c r="C18">
        <v>3250000</v>
      </c>
      <c r="D18">
        <v>1000</v>
      </c>
      <c r="E18">
        <v>3390000</v>
      </c>
      <c r="F18">
        <v>850</v>
      </c>
      <c r="G18" s="16" t="s">
        <v>34</v>
      </c>
      <c r="H18">
        <v>3250</v>
      </c>
      <c r="I18">
        <v>2762500</v>
      </c>
      <c r="J18">
        <v>140000</v>
      </c>
      <c r="K18">
        <v>487500</v>
      </c>
      <c r="L18">
        <v>627500</v>
      </c>
      <c r="M18">
        <v>0</v>
      </c>
    </row>
    <row r="19" spans="1:13">
      <c r="A19" s="17" t="s">
        <v>31</v>
      </c>
      <c r="B19" s="17" t="s">
        <v>25</v>
      </c>
      <c r="C19">
        <v>3600000</v>
      </c>
      <c r="D19">
        <v>1100</v>
      </c>
      <c r="E19">
        <v>3435000</v>
      </c>
      <c r="F19">
        <v>895</v>
      </c>
      <c r="G19" s="17" t="s">
        <v>34</v>
      </c>
      <c r="H19">
        <v>3272.7272727272725</v>
      </c>
      <c r="I19">
        <v>2929090.9090909087</v>
      </c>
      <c r="J19">
        <v>-165000</v>
      </c>
      <c r="K19">
        <v>670909.09090909129</v>
      </c>
      <c r="L19">
        <v>505909.09090909129</v>
      </c>
      <c r="M19">
        <v>0</v>
      </c>
    </row>
  </sheetData>
  <phoneticPr fontId="17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G34"/>
  <sheetViews>
    <sheetView showGridLines="0" workbookViewId="0">
      <selection activeCell="I36" sqref="I36"/>
    </sheetView>
  </sheetViews>
  <sheetFormatPr defaultRowHeight="18" customHeight="1"/>
  <cols>
    <col min="1" max="1" width="3" customWidth="1"/>
    <col min="2" max="2" width="14" customWidth="1"/>
    <col min="3" max="3" width="15" customWidth="1"/>
    <col min="4" max="4" width="12" customWidth="1"/>
    <col min="5" max="5" width="13" customWidth="1"/>
    <col min="6" max="6" width="15" customWidth="1"/>
    <col min="7" max="22" width="10" customWidth="1"/>
    <col min="23" max="23" width="3" customWidth="1"/>
    <col min="24" max="33" width="18" customWidth="1"/>
  </cols>
  <sheetData>
    <row r="2" spans="2:33" ht="18" customHeight="1">
      <c r="B2" s="19" t="s">
        <v>35</v>
      </c>
      <c r="C2" s="19"/>
      <c r="D2" s="19"/>
      <c r="E2" s="19"/>
      <c r="F2" s="19"/>
      <c r="G2" s="1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AA2" t="s">
        <v>36</v>
      </c>
      <c r="AB2" t="s">
        <v>37</v>
      </c>
      <c r="AC2" t="s">
        <v>38</v>
      </c>
      <c r="AD2" t="s">
        <v>39</v>
      </c>
      <c r="AE2" t="s">
        <v>40</v>
      </c>
      <c r="AF2" t="s">
        <v>41</v>
      </c>
      <c r="AG2" t="s">
        <v>42</v>
      </c>
    </row>
    <row r="3" spans="2:33" ht="18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t="s">
        <v>43</v>
      </c>
      <c r="X3" t="s">
        <v>44</v>
      </c>
      <c r="Y3" t="s">
        <v>45</v>
      </c>
      <c r="Z3" t="s">
        <v>46</v>
      </c>
      <c r="AA3">
        <f>0</f>
        <v>0</v>
      </c>
      <c r="AB3">
        <f>$Y$7/10000</f>
        <v>300</v>
      </c>
      <c r="AC3">
        <f>0</f>
        <v>0</v>
      </c>
      <c r="AD3">
        <f>$Y$9/10000</f>
        <v>320</v>
      </c>
      <c r="AE3">
        <f>$Y$10</f>
        <v>800</v>
      </c>
      <c r="AF3">
        <f>$Y$12/10000</f>
        <v>240</v>
      </c>
      <c r="AG3">
        <f>$Y$8</f>
        <v>1000</v>
      </c>
    </row>
    <row r="4" spans="2:33" ht="18" customHeight="1">
      <c r="B4" s="10" t="s">
        <v>47</v>
      </c>
      <c r="C4" s="31">
        <v>46023</v>
      </c>
      <c r="D4" s="10"/>
      <c r="E4" s="10" t="s">
        <v>48</v>
      </c>
      <c r="F4" s="11" t="s">
        <v>24</v>
      </c>
      <c r="G4" s="10"/>
      <c r="H4" s="10"/>
      <c r="I4" s="10" t="s">
        <v>49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>
        <f>0</f>
        <v>0</v>
      </c>
      <c r="X4">
        <f>$C$7/10000</f>
        <v>300</v>
      </c>
      <c r="Y4">
        <f>0</f>
        <v>0</v>
      </c>
      <c r="Z4">
        <f>$C$10</f>
        <v>0</v>
      </c>
      <c r="AA4">
        <f>$Y$8</f>
        <v>1000</v>
      </c>
      <c r="AB4">
        <f>$Y$7/10000</f>
        <v>300</v>
      </c>
      <c r="AC4">
        <f>$Y$7/10000</f>
        <v>300</v>
      </c>
      <c r="AD4">
        <f>$Y$9/10000</f>
        <v>320</v>
      </c>
    </row>
    <row r="5" spans="2:33" ht="18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>
        <f>$C$8</f>
        <v>1000</v>
      </c>
      <c r="X5">
        <f>$C$7/10000</f>
        <v>300</v>
      </c>
      <c r="Y5">
        <f>$C$7/10000</f>
        <v>300</v>
      </c>
      <c r="AB5">
        <f>$C$10</f>
        <v>0</v>
      </c>
      <c r="AC5">
        <f>$C$9/10000</f>
        <v>320</v>
      </c>
      <c r="AD5">
        <f>$C$7/10000</f>
        <v>300</v>
      </c>
    </row>
    <row r="7" spans="2:33" ht="18" customHeight="1">
      <c r="B7" s="22" t="s">
        <v>50</v>
      </c>
      <c r="C7" s="23">
        <f>SUMIFS(期待結果!$C$2:$C$19,期待結果!$A$2:$A$19,$C$4,期待結果!$B$2:$B$19,$F$4)</f>
        <v>3000000</v>
      </c>
      <c r="D7" s="22"/>
      <c r="E7" s="22"/>
      <c r="F7" s="22"/>
      <c r="H7" s="22" t="s">
        <v>51</v>
      </c>
      <c r="I7" s="22"/>
      <c r="J7" s="22"/>
      <c r="K7" s="22"/>
      <c r="L7" s="22"/>
      <c r="N7" s="22" t="s">
        <v>52</v>
      </c>
      <c r="O7" s="22"/>
      <c r="P7" s="22"/>
      <c r="Q7" s="22"/>
      <c r="R7" s="22"/>
      <c r="X7" t="s">
        <v>19</v>
      </c>
      <c r="Y7">
        <f>SUMIFS(期待結果!$C$2:$C$19,期待結果!$A$2:$A$19,$C$4,期待結果!$B$2:$B$19,$F$4)</f>
        <v>3000000</v>
      </c>
    </row>
    <row r="8" spans="2:33" ht="18" customHeight="1">
      <c r="B8" s="24">
        <f>Y13/10000</f>
        <v>20</v>
      </c>
      <c r="C8" s="25">
        <f>SUMIFS(期待結果!$D$2:$D$19,期待結果!$A$2:$A$19,$C$4,期待結果!$B$2:$B$19,$F$4)</f>
        <v>1000</v>
      </c>
      <c r="D8" s="26"/>
      <c r="E8" s="26"/>
      <c r="F8" s="26"/>
      <c r="H8" s="24">
        <f>Y14/10000</f>
        <v>60</v>
      </c>
      <c r="I8" s="26"/>
      <c r="J8" s="26"/>
      <c r="K8" s="26"/>
      <c r="L8" s="26"/>
      <c r="N8" s="24">
        <f>Y15/10000</f>
        <v>80</v>
      </c>
      <c r="O8" s="26"/>
      <c r="P8" s="26"/>
      <c r="Q8" s="26"/>
      <c r="R8" s="26"/>
      <c r="X8" t="s">
        <v>4</v>
      </c>
      <c r="Y8">
        <f>SUMIFS(期待結果!$D$2:$D$19,期待結果!$A$2:$A$19,$C$4,期待結果!$B$2:$B$19,$F$4)</f>
        <v>1000</v>
      </c>
    </row>
    <row r="9" spans="2:33" ht="18" customHeight="1">
      <c r="B9" s="26" t="s">
        <v>5</v>
      </c>
      <c r="C9" s="25">
        <f>SUMIFS(期待結果!$E$2:$E$19,期待結果!$A$2:$A$19,$C$4,期待結果!$B$2:$B$19,$F$4)</f>
        <v>3200000</v>
      </c>
      <c r="D9" s="26"/>
      <c r="E9" s="26"/>
      <c r="F9" s="26"/>
      <c r="H9" s="26"/>
      <c r="I9" s="26"/>
      <c r="J9" s="26"/>
      <c r="K9" s="26"/>
      <c r="L9" s="26"/>
      <c r="N9" s="26"/>
      <c r="O9" s="26"/>
      <c r="P9" s="26"/>
      <c r="Q9" s="26"/>
      <c r="R9" s="26"/>
      <c r="X9" t="s">
        <v>5</v>
      </c>
      <c r="Y9">
        <f>SUMIFS(期待結果!$E$2:$E$19,期待結果!$A$2:$A$19,$C$4,期待結果!$B$2:$B$19,$F$4)</f>
        <v>3200000</v>
      </c>
    </row>
    <row r="10" spans="2:33" ht="18" customHeight="1">
      <c r="B10" s="12"/>
      <c r="C10" s="13"/>
      <c r="X10" t="s">
        <v>32</v>
      </c>
      <c r="Y10">
        <f>SUMIFS(期待結果!$F$2:$F$19,期待結果!$A$2:$A$19,$C$4,期待結果!$B$2:$B$19,$F$4)</f>
        <v>800</v>
      </c>
    </row>
    <row r="11" spans="2:33" ht="18" customHeight="1">
      <c r="B11" s="20" t="s">
        <v>53</v>
      </c>
      <c r="C11" s="2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X11" t="s">
        <v>7</v>
      </c>
      <c r="Y11">
        <f>SUMIFS(期待結果!$H$2:$H$19,期待結果!$A$2:$A$19,$C$4,期待結果!$B$2:$B$19,$F$4)</f>
        <v>3000</v>
      </c>
    </row>
    <row r="12" spans="2:33" ht="18" customHeight="1">
      <c r="B12" s="12"/>
      <c r="C12" s="13"/>
      <c r="X12" t="s">
        <v>9</v>
      </c>
      <c r="Y12">
        <f>SUMIFS(期待結果!$I$2:$I$19,期待結果!$A$2:$A$19,$C$4,期待結果!$B$2:$B$19,$F$4)</f>
        <v>2400000</v>
      </c>
    </row>
    <row r="13" spans="2:33" ht="18" customHeight="1">
      <c r="B13" s="12"/>
      <c r="C13" s="13"/>
      <c r="X13" t="s">
        <v>10</v>
      </c>
      <c r="Y13">
        <f>SUMIFS(期待結果!$J$2:$J$19,期待結果!$A$2:$A$19,$C$4,期待結果!$B$2:$B$19,$F$4)</f>
        <v>200000</v>
      </c>
    </row>
    <row r="14" spans="2:33" ht="18" customHeight="1">
      <c r="B14" s="12"/>
      <c r="C14" s="13"/>
      <c r="X14" t="s">
        <v>12</v>
      </c>
      <c r="Y14">
        <f>SUMIFS(期待結果!$K$2:$K$19,期待結果!$A$2:$A$19,$C$4,期待結果!$B$2:$B$19,$F$4)</f>
        <v>600000</v>
      </c>
    </row>
    <row r="15" spans="2:33" ht="18" customHeight="1">
      <c r="B15" s="12"/>
      <c r="C15" s="13"/>
      <c r="X15" t="s">
        <v>14</v>
      </c>
      <c r="Y15">
        <f>SUMIFS(期待結果!$L$2:$L$19,期待結果!$A$2:$A$19,$C$4,期待結果!$B$2:$B$19,$F$4)</f>
        <v>800000</v>
      </c>
    </row>
    <row r="16" spans="2:33" ht="18" customHeight="1">
      <c r="B16" s="12"/>
      <c r="C16" s="13"/>
      <c r="X16" t="s">
        <v>15</v>
      </c>
      <c r="Y16">
        <f>SUMIFS(期待結果!$M$2:$M$19,期待結果!$A$2:$A$19,$C$4,期待結果!$B$2:$B$19,$F$4)</f>
        <v>0</v>
      </c>
    </row>
    <row r="18" spans="2:8" ht="18" customHeight="1">
      <c r="B18" s="20" t="s">
        <v>54</v>
      </c>
      <c r="C18" s="20"/>
      <c r="D18" s="20"/>
      <c r="E18" s="20"/>
      <c r="F18" s="20"/>
      <c r="G18" s="20"/>
      <c r="H18" s="14"/>
    </row>
    <row r="19" spans="2:8" ht="18" customHeight="1">
      <c r="B19" s="21" t="str">
        <f>"① 予算差異："&amp;TEXT(ABS(Y13)/10000,"0.0")&amp;"万円（"&amp;IF(Y13&gt;0,"不利",IF(Y13&lt;0,"有利","なし"))&amp;"）  実績と予算の差額"</f>
        <v>① 予算差異：20.0万円（不利）  実績と予算の差額</v>
      </c>
      <c r="C19" s="21"/>
      <c r="D19" s="21"/>
      <c r="E19" s="21"/>
      <c r="F19" s="21"/>
      <c r="G19" s="21"/>
      <c r="H19" s="15"/>
    </row>
    <row r="20" spans="2:8" ht="18" customHeight="1">
      <c r="B20" s="21"/>
      <c r="C20" s="21"/>
      <c r="D20" s="21"/>
      <c r="E20" s="21"/>
      <c r="F20" s="21"/>
      <c r="G20" s="21"/>
      <c r="H20" s="15"/>
    </row>
    <row r="21" spans="2:8" ht="18" customHeight="1">
      <c r="B21" s="21"/>
      <c r="C21" s="21"/>
      <c r="D21" s="21"/>
      <c r="E21" s="21"/>
      <c r="F21" s="21"/>
      <c r="G21" s="21"/>
      <c r="H21" s="15"/>
    </row>
    <row r="22" spans="2:8" ht="18" customHeight="1">
      <c r="B22" s="21" t="str">
        <f>"② 操業度差異："&amp;TEXT(ABS(Y14)/10000,"0.0")&amp;"万円（"&amp;IF(Y14&gt;0,"不利",IF(Y14&lt;0,"有利","なし"))&amp;"）  基準操業度からの変化"</f>
        <v>② 操業度差異：60.0万円（不利）  基準操業度からの変化</v>
      </c>
      <c r="C22" s="21"/>
      <c r="D22" s="21"/>
      <c r="E22" s="21"/>
      <c r="F22" s="21"/>
      <c r="G22" s="21"/>
      <c r="H22" s="15"/>
    </row>
    <row r="23" spans="2:8" ht="18" customHeight="1">
      <c r="B23" s="15"/>
      <c r="C23" s="15"/>
      <c r="D23" s="15"/>
      <c r="E23" s="15"/>
      <c r="F23" s="15"/>
      <c r="G23" s="15"/>
      <c r="H23" s="15"/>
    </row>
    <row r="24" spans="2:8" ht="18" customHeight="1">
      <c r="B24" s="21"/>
      <c r="C24" s="21"/>
      <c r="D24" s="21"/>
      <c r="E24" s="21"/>
      <c r="F24" s="21"/>
      <c r="G24" s="21"/>
      <c r="H24" s="15"/>
    </row>
    <row r="25" spans="2:8" ht="18" customHeight="1">
      <c r="B25" s="21" t="str">
        <f>"③ 全体差異："&amp;TEXT(ABS(Y15)/10000,"0.0")&amp;"万円（"&amp;IF(Y15&gt;0,"不利",IF(Y15&lt;0,"有利","なし"))&amp;"）  上記2要因の合計"</f>
        <v>③ 全体差異：80.0万円（不利）  上記2要因の合計</v>
      </c>
      <c r="C25" s="21"/>
      <c r="D25" s="21"/>
      <c r="E25" s="21"/>
      <c r="F25" s="21"/>
      <c r="G25" s="21"/>
      <c r="H25" s="15"/>
    </row>
    <row r="26" spans="2:8" ht="18" customHeight="1">
      <c r="B26" s="15"/>
      <c r="C26" s="15"/>
      <c r="D26" s="15"/>
      <c r="E26" s="15"/>
      <c r="F26" s="15"/>
      <c r="G26" s="15"/>
      <c r="H26" s="15"/>
    </row>
    <row r="27" spans="2:8" ht="18" customHeight="1">
      <c r="B27" s="15"/>
      <c r="C27" s="15"/>
      <c r="D27" s="15"/>
      <c r="E27" s="15"/>
      <c r="F27" s="15"/>
      <c r="G27" s="15"/>
      <c r="H27" s="15"/>
    </row>
    <row r="29" spans="2:8" ht="18" customHeight="1">
      <c r="B29" s="27" t="str">
        <f>"経営上の示唆："&amp;IF(ABS(Y14)&gt;ABS(Y13),"操業度の影響が大きいため、受注・稼働計画や基準操業度を優先確認。","費用予算の差が相対的に大きいため、費目別の増減を優先確認。")</f>
        <v>経営上の示唆：操業度の影響が大きいため、受注・稼働計画や基準操業度を優先確認。</v>
      </c>
      <c r="C29" s="27"/>
      <c r="D29" s="27"/>
      <c r="E29" s="27"/>
      <c r="F29" s="27"/>
      <c r="G29" s="27"/>
      <c r="H29" s="27"/>
    </row>
    <row r="30" spans="2:8" ht="18" customHeight="1">
      <c r="B30" s="27"/>
      <c r="C30" s="27"/>
      <c r="D30" s="27"/>
      <c r="E30" s="27"/>
      <c r="F30" s="27"/>
      <c r="G30" s="27"/>
      <c r="H30" s="27"/>
    </row>
    <row r="31" spans="2:8" ht="18" customHeight="1">
      <c r="B31" s="27"/>
      <c r="C31" s="27"/>
      <c r="D31" s="27"/>
      <c r="E31" s="27"/>
      <c r="F31" s="27"/>
      <c r="G31" s="27"/>
      <c r="H31" s="27"/>
    </row>
    <row r="32" spans="2:8" ht="18" customHeight="1">
      <c r="B32" s="27"/>
      <c r="C32" s="27"/>
      <c r="D32" s="27"/>
      <c r="E32" s="27"/>
      <c r="F32" s="27"/>
      <c r="G32" s="27"/>
      <c r="H32" s="27"/>
    </row>
    <row r="34" spans="2:22" ht="18" customHeight="1">
      <c r="B34" s="28" t="str">
        <f>"REPORTING NOTE   |   固定製造間接費のみの簡略モデル   •   検算 "&amp;IF(ABS(Y16)&lt;0.01,"OK","要確認")&amp;"   •   プラス差異＝不利 / マイナス差異＝有利"</f>
        <v>REPORTING NOTE   |   固定製造間接費のみの簡略モデル   •   検算 OK   •   プラス差異＝不利 / マイナス差異＝有利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</sheetData>
  <mergeCells count="17">
    <mergeCell ref="B29:H32"/>
    <mergeCell ref="B34:V34"/>
    <mergeCell ref="H7:L7"/>
    <mergeCell ref="H8:L9"/>
    <mergeCell ref="N7:R7"/>
    <mergeCell ref="N8:R9"/>
    <mergeCell ref="B11:V11"/>
    <mergeCell ref="B22:G22"/>
    <mergeCell ref="B24:G24"/>
    <mergeCell ref="B25:G25"/>
    <mergeCell ref="B2:G2"/>
    <mergeCell ref="B18:G18"/>
    <mergeCell ref="B19:G19"/>
    <mergeCell ref="B20:G20"/>
    <mergeCell ref="B21:G21"/>
    <mergeCell ref="B7:F7"/>
    <mergeCell ref="B8:F9"/>
  </mergeCells>
  <phoneticPr fontId="17"/>
  <dataValidations count="2">
    <dataValidation type="list" sqref="C4" xr:uid="{00000000-0002-0000-0700-000000000000}">
      <formula1>"2026-01,2026-02,2026-03,2026-04,2026-05,2026-06"</formula1>
    </dataValidation>
    <dataValidation type="list" sqref="F4" xr:uid="{00000000-0002-0000-0700-000001000000}">
      <formula1>"製造1課,製造2課,組立課"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99CC05-C782-4171-AC92-C26CE05946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差異分析</vt:lpstr>
      <vt:lpstr>シュラッター図</vt:lpstr>
      <vt:lpstr>予算データ</vt:lpstr>
      <vt:lpstr>実績データ</vt:lpstr>
      <vt:lpstr>標準時間データ</vt:lpstr>
      <vt:lpstr>期待結果</vt:lpstr>
      <vt:lpstr>分析ダッシュボード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健史 増谷</cp:lastModifiedBy>
  <dcterms:modified xsi:type="dcterms:W3CDTF">2026-10-24T12:11:07Z</dcterms:modified>
</cp:coreProperties>
</file>